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850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Business Concepts</author>
  </authors>
  <commentList>
    <comment ref="F19" authorId="0">
      <text>
        <r>
          <rPr>
            <b/>
            <sz val="9"/>
            <rFont val="Tahoma"/>
            <family val="2"/>
          </rPr>
          <t>udział kapitału własnego x oczekiwana stpa zwrotu + udział kredytu x stopa kredytowa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= 1/(1 + stopa dyskontowa)^nr okresu</t>
        </r>
      </text>
    </comment>
    <comment ref="A11" authorId="0">
      <text>
        <r>
          <rPr>
            <b/>
            <sz val="9"/>
            <rFont val="Tahoma"/>
            <family val="0"/>
          </rPr>
          <t>amortyzacja + dochód do opodatkowania - podatek - rata kredytu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<sst xmlns="http://schemas.openxmlformats.org/spreadsheetml/2006/main" count="36" uniqueCount="34">
  <si>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Podatek miesięcznie</t>
  </si>
  <si>
    <t>Wpływ netto miesięcznie</t>
  </si>
  <si>
    <t>Kredyt</t>
  </si>
  <si>
    <t>Rata kredytu</t>
  </si>
  <si>
    <t>Stopa zwrotu</t>
  </si>
  <si>
    <t>Wpływ netto rocznie</t>
  </si>
  <si>
    <t>Wkład własny</t>
  </si>
  <si>
    <t>CF</t>
  </si>
  <si>
    <t>współ. dyskontujący</t>
  </si>
  <si>
    <t>Wartość rezydualna</t>
  </si>
  <si>
    <t>DCF</t>
  </si>
  <si>
    <t>IRR</t>
  </si>
  <si>
    <t>Wpływ netto</t>
  </si>
  <si>
    <t>NPV</t>
  </si>
  <si>
    <t>stopa dyskontowa</t>
  </si>
  <si>
    <t>rok</t>
  </si>
  <si>
    <t>Koszt zakupu nieruchomości</t>
  </si>
  <si>
    <t>udział %</t>
  </si>
  <si>
    <t>kapitał własny</t>
  </si>
  <si>
    <t>kredyt</t>
  </si>
  <si>
    <t>oczekiwana stopa zwrotu</t>
  </si>
  <si>
    <t>stopa kredytowa</t>
  </si>
  <si>
    <t>jaką będziesz mieć stopę zwrotu z inwestycji</t>
  </si>
  <si>
    <t>od 1 roku do 30 lat</t>
  </si>
  <si>
    <t>Wydatki do odliczenia miesięcznie</t>
  </si>
  <si>
    <t>Dochód do opodatkowania</t>
  </si>
  <si>
    <t>wpisz odpowiednią kwotę przy ogólnych zasadach opodatkowania; przy ryczałcie 0</t>
  </si>
  <si>
    <t>Kwota za wynajem miesięcznie</t>
  </si>
  <si>
    <t>przy ryczałcie 8,5% od dochodu; przy ogólnych zasadach wpisz odpowiednią kwotę wynikającą z obowiązującej stawki</t>
  </si>
  <si>
    <t>dane wpisywać tylko w niebieskie komórki!</t>
  </si>
  <si>
    <t>ile pieniędzy (oprócz wkładu) będziesz mieć z inwestycji wg bieżącej wartości pieniądza</t>
  </si>
  <si>
    <t>Okres inwestycji w latach</t>
  </si>
  <si>
    <t>Wartość rezydualna nieruchomości na koniec inwestycji (czyli ile będzie wówczas warta nieruchomość)</t>
  </si>
  <si>
    <t>Amortyzacja nieruchomości miesięcznie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</si>
</sst>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9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9"/>
      <color theme="1"/>
      <name val="Cambria"/>
      <family val="1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4" fontId="40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10" fontId="42" fillId="0" borderId="10" xfId="52" applyNumberFormat="1" applyFont="1" applyBorder="1" applyAlignment="1">
      <alignment/>
    </xf>
    <xf numFmtId="10" fontId="42" fillId="0" borderId="0" xfId="52" applyNumberFormat="1" applyFont="1" applyBorder="1" applyAlignment="1">
      <alignment/>
    </xf>
    <xf numFmtId="0" fontId="42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0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165" fontId="40" fillId="0" borderId="10" xfId="0" applyNumberFormat="1" applyFont="1" applyBorder="1" applyAlignment="1">
      <alignment/>
    </xf>
    <xf numFmtId="164" fontId="43" fillId="0" borderId="0" xfId="0" applyNumberFormat="1" applyFont="1" applyAlignment="1">
      <alignment horizontal="center"/>
    </xf>
    <xf numFmtId="4" fontId="40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4" fontId="40" fillId="34" borderId="10" xfId="0" applyNumberFormat="1" applyFont="1" applyFill="1" applyBorder="1" applyAlignment="1" applyProtection="1">
      <alignment/>
      <protection locked="0"/>
    </xf>
    <xf numFmtId="3" fontId="40" fillId="34" borderId="10" xfId="0" applyNumberFormat="1" applyFont="1" applyFill="1" applyBorder="1" applyAlignment="1" applyProtection="1">
      <alignment/>
      <protection locked="0"/>
    </xf>
    <xf numFmtId="10" fontId="40" fillId="34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right"/>
    </xf>
    <xf numFmtId="10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34" borderId="1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-bizcom.net/" TargetMode="External" /><Relationship Id="rId3" Type="http://schemas.openxmlformats.org/officeDocument/2006/relationships/hyperlink" Target="http://www.e-bizcom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30</xdr:row>
      <xdr:rowOff>95250</xdr:rowOff>
    </xdr:from>
    <xdr:to>
      <xdr:col>0</xdr:col>
      <xdr:colOff>2714625</xdr:colOff>
      <xdr:row>37</xdr:row>
      <xdr:rowOff>57150</xdr:rowOff>
    </xdr:to>
    <xdr:pic>
      <xdr:nvPicPr>
        <xdr:cNvPr id="1" name="Obraz 1" descr="logo-e-bizcom-3D-aplikacje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10175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zoomScale="88" zoomScaleNormal="88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8.796875" defaultRowHeight="14.25"/>
  <cols>
    <col min="1" max="1" width="33.69921875" style="1" customWidth="1"/>
    <col min="2" max="2" width="10.59765625" style="1" customWidth="1"/>
    <col min="3" max="3" width="10.59765625" style="19" customWidth="1"/>
    <col min="4" max="32" width="10.59765625" style="1" customWidth="1"/>
    <col min="33" max="16384" width="9" style="1" customWidth="1"/>
  </cols>
  <sheetData>
    <row r="1" spans="1:2" ht="12.75">
      <c r="A1" s="37" t="s">
        <v>29</v>
      </c>
      <c r="B1" s="37"/>
    </row>
    <row r="2" spans="1:3" ht="12.75">
      <c r="A2" s="6" t="s">
        <v>6</v>
      </c>
      <c r="B2" s="27">
        <v>100000</v>
      </c>
      <c r="C2" s="13"/>
    </row>
    <row r="3" spans="1:3" ht="12.75">
      <c r="A3" s="6" t="s">
        <v>2</v>
      </c>
      <c r="B3" s="27">
        <v>100000</v>
      </c>
      <c r="C3" s="13"/>
    </row>
    <row r="4" spans="1:3" ht="12.75">
      <c r="A4" s="6" t="s">
        <v>16</v>
      </c>
      <c r="B4" s="7">
        <f>B2+B3</f>
        <v>200000</v>
      </c>
      <c r="C4" s="13"/>
    </row>
    <row r="5" spans="1:3" ht="12.75">
      <c r="A5" s="6" t="s">
        <v>27</v>
      </c>
      <c r="B5" s="27">
        <v>1400</v>
      </c>
      <c r="C5" s="13"/>
    </row>
    <row r="6" spans="1:3" ht="12.75">
      <c r="A6" s="6" t="s">
        <v>24</v>
      </c>
      <c r="B6" s="27"/>
      <c r="C6" s="13" t="s">
        <v>26</v>
      </c>
    </row>
    <row r="7" spans="1:3" ht="12.75">
      <c r="A7" s="6" t="s">
        <v>33</v>
      </c>
      <c r="B7" s="27"/>
      <c r="C7" s="13" t="s">
        <v>26</v>
      </c>
    </row>
    <row r="8" spans="1:3" ht="12.75">
      <c r="A8" s="6" t="s">
        <v>25</v>
      </c>
      <c r="B8" s="24">
        <f>B5-B6-B7</f>
        <v>1400</v>
      </c>
      <c r="C8" s="13"/>
    </row>
    <row r="9" spans="1:6" ht="12.75">
      <c r="A9" s="6" t="s">
        <v>0</v>
      </c>
      <c r="B9" s="27">
        <f>8.5%*B8</f>
        <v>119.00000000000001</v>
      </c>
      <c r="C9" s="13" t="s">
        <v>28</v>
      </c>
      <c r="F9" s="4"/>
    </row>
    <row r="10" spans="1:3" ht="12.75">
      <c r="A10" s="6" t="s">
        <v>3</v>
      </c>
      <c r="B10" s="27">
        <v>500</v>
      </c>
      <c r="C10" s="13"/>
    </row>
    <row r="11" spans="1:3" ht="12.75">
      <c r="A11" s="6" t="s">
        <v>1</v>
      </c>
      <c r="B11" s="7">
        <f>B7+B8-B9-B10</f>
        <v>781</v>
      </c>
      <c r="C11" s="13"/>
    </row>
    <row r="12" spans="1:3" ht="12.75">
      <c r="A12" s="6" t="s">
        <v>5</v>
      </c>
      <c r="B12" s="7">
        <f>B11*12</f>
        <v>9372</v>
      </c>
      <c r="C12" s="13"/>
    </row>
    <row r="13" spans="1:3" s="17" customFormat="1" ht="12.75">
      <c r="A13" s="14" t="s">
        <v>4</v>
      </c>
      <c r="B13" s="15">
        <f>B12/B2</f>
        <v>0.09372</v>
      </c>
      <c r="C13" s="16"/>
    </row>
    <row r="14" spans="1:3" ht="12.75">
      <c r="A14" s="6" t="s">
        <v>31</v>
      </c>
      <c r="B14" s="28">
        <v>30</v>
      </c>
      <c r="C14" s="18" t="s">
        <v>23</v>
      </c>
    </row>
    <row r="15" spans="1:3" ht="38.25">
      <c r="A15" s="33" t="s">
        <v>32</v>
      </c>
      <c r="B15" s="34">
        <v>300000</v>
      </c>
      <c r="C15" s="18"/>
    </row>
    <row r="16" spans="3:32" ht="12.75">
      <c r="C16" s="23" t="s">
        <v>17</v>
      </c>
      <c r="G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6" ht="12.75">
      <c r="A17" s="21" t="s">
        <v>18</v>
      </c>
      <c r="B17" s="7">
        <f>B2</f>
        <v>100000</v>
      </c>
      <c r="C17" s="22">
        <f>B17/(B17+B18)</f>
        <v>0.5</v>
      </c>
      <c r="D17" s="35" t="s">
        <v>20</v>
      </c>
      <c r="E17" s="35"/>
      <c r="F17" s="29">
        <v>0.08</v>
      </c>
    </row>
    <row r="18" spans="1:6" ht="12.75">
      <c r="A18" s="21" t="s">
        <v>19</v>
      </c>
      <c r="B18" s="7">
        <f>B3</f>
        <v>100000</v>
      </c>
      <c r="C18" s="22">
        <f>1-C17</f>
        <v>0.5</v>
      </c>
      <c r="D18" s="35" t="s">
        <v>21</v>
      </c>
      <c r="E18" s="35"/>
      <c r="F18" s="29">
        <v>0.045</v>
      </c>
    </row>
    <row r="19" spans="3:6" ht="12.75">
      <c r="C19" s="1"/>
      <c r="D19" s="36" t="s">
        <v>14</v>
      </c>
      <c r="E19" s="36"/>
      <c r="F19" s="20">
        <f>F17*C17+F18*C18</f>
        <v>0.0625</v>
      </c>
    </row>
    <row r="20" ht="6" customHeight="1">
      <c r="C20" s="1"/>
    </row>
    <row r="21" spans="1:32" s="5" customFormat="1" ht="12.75">
      <c r="A21" s="12" t="s">
        <v>15</v>
      </c>
      <c r="B21" s="11">
        <v>0</v>
      </c>
      <c r="C21" s="11">
        <f>IF(B21="","",IF(B21+1&lt;=$B$14,B21+1,""))</f>
        <v>1</v>
      </c>
      <c r="D21" s="11">
        <f aca="true" t="shared" si="0" ref="D21:AF21">IF(C21="","",IF(C21+1&lt;=$B$14,C21+1,""))</f>
        <v>2</v>
      </c>
      <c r="E21" s="11">
        <f t="shared" si="0"/>
        <v>3</v>
      </c>
      <c r="F21" s="11">
        <f t="shared" si="0"/>
        <v>4</v>
      </c>
      <c r="G21" s="11">
        <f t="shared" si="0"/>
        <v>5</v>
      </c>
      <c r="H21" s="11">
        <f t="shared" si="0"/>
        <v>6</v>
      </c>
      <c r="I21" s="11">
        <f t="shared" si="0"/>
        <v>7</v>
      </c>
      <c r="J21" s="11">
        <f t="shared" si="0"/>
        <v>8</v>
      </c>
      <c r="K21" s="11">
        <f t="shared" si="0"/>
        <v>9</v>
      </c>
      <c r="L21" s="11">
        <f t="shared" si="0"/>
        <v>10</v>
      </c>
      <c r="M21" s="11">
        <f t="shared" si="0"/>
        <v>11</v>
      </c>
      <c r="N21" s="11">
        <f t="shared" si="0"/>
        <v>12</v>
      </c>
      <c r="O21" s="11">
        <f t="shared" si="0"/>
        <v>13</v>
      </c>
      <c r="P21" s="11">
        <f t="shared" si="0"/>
        <v>14</v>
      </c>
      <c r="Q21" s="11">
        <f t="shared" si="0"/>
        <v>15</v>
      </c>
      <c r="R21" s="11">
        <f t="shared" si="0"/>
        <v>16</v>
      </c>
      <c r="S21" s="11">
        <f t="shared" si="0"/>
        <v>17</v>
      </c>
      <c r="T21" s="11">
        <f t="shared" si="0"/>
        <v>18</v>
      </c>
      <c r="U21" s="11">
        <f t="shared" si="0"/>
        <v>19</v>
      </c>
      <c r="V21" s="11">
        <f t="shared" si="0"/>
        <v>20</v>
      </c>
      <c r="W21" s="11">
        <f t="shared" si="0"/>
        <v>21</v>
      </c>
      <c r="X21" s="11">
        <f t="shared" si="0"/>
        <v>22</v>
      </c>
      <c r="Y21" s="11">
        <f t="shared" si="0"/>
        <v>23</v>
      </c>
      <c r="Z21" s="11">
        <f t="shared" si="0"/>
        <v>24</v>
      </c>
      <c r="AA21" s="11">
        <f t="shared" si="0"/>
        <v>25</v>
      </c>
      <c r="AB21" s="11">
        <f t="shared" si="0"/>
        <v>26</v>
      </c>
      <c r="AC21" s="11">
        <f t="shared" si="0"/>
        <v>27</v>
      </c>
      <c r="AD21" s="11">
        <f t="shared" si="0"/>
        <v>28</v>
      </c>
      <c r="AE21" s="11">
        <f t="shared" si="0"/>
        <v>29</v>
      </c>
      <c r="AF21" s="11">
        <f t="shared" si="0"/>
        <v>30</v>
      </c>
    </row>
    <row r="22" spans="1:32" ht="12.75">
      <c r="A22" s="6" t="s">
        <v>6</v>
      </c>
      <c r="B22" s="7">
        <f>-B2</f>
        <v>-100000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>
      <c r="A23" s="6" t="s">
        <v>12</v>
      </c>
      <c r="B23" s="7"/>
      <c r="C23" s="7">
        <f>IF(C21="","",$B$12)</f>
        <v>9372</v>
      </c>
      <c r="D23" s="7">
        <f aca="true" t="shared" si="1" ref="D23:AF23">IF(D21="","",$B$12)</f>
        <v>9372</v>
      </c>
      <c r="E23" s="7">
        <f t="shared" si="1"/>
        <v>9372</v>
      </c>
      <c r="F23" s="7">
        <f t="shared" si="1"/>
        <v>9372</v>
      </c>
      <c r="G23" s="7">
        <f t="shared" si="1"/>
        <v>9372</v>
      </c>
      <c r="H23" s="7">
        <f t="shared" si="1"/>
        <v>9372</v>
      </c>
      <c r="I23" s="7">
        <f t="shared" si="1"/>
        <v>9372</v>
      </c>
      <c r="J23" s="7">
        <f t="shared" si="1"/>
        <v>9372</v>
      </c>
      <c r="K23" s="7">
        <f t="shared" si="1"/>
        <v>9372</v>
      </c>
      <c r="L23" s="7">
        <f t="shared" si="1"/>
        <v>9372</v>
      </c>
      <c r="M23" s="7">
        <f t="shared" si="1"/>
        <v>9372</v>
      </c>
      <c r="N23" s="7">
        <f t="shared" si="1"/>
        <v>9372</v>
      </c>
      <c r="O23" s="7">
        <f t="shared" si="1"/>
        <v>9372</v>
      </c>
      <c r="P23" s="7">
        <f t="shared" si="1"/>
        <v>9372</v>
      </c>
      <c r="Q23" s="7">
        <f t="shared" si="1"/>
        <v>9372</v>
      </c>
      <c r="R23" s="7">
        <f t="shared" si="1"/>
        <v>9372</v>
      </c>
      <c r="S23" s="7">
        <f t="shared" si="1"/>
        <v>9372</v>
      </c>
      <c r="T23" s="7">
        <f t="shared" si="1"/>
        <v>9372</v>
      </c>
      <c r="U23" s="7">
        <f t="shared" si="1"/>
        <v>9372</v>
      </c>
      <c r="V23" s="7">
        <f t="shared" si="1"/>
        <v>9372</v>
      </c>
      <c r="W23" s="7">
        <f t="shared" si="1"/>
        <v>9372</v>
      </c>
      <c r="X23" s="7">
        <f t="shared" si="1"/>
        <v>9372</v>
      </c>
      <c r="Y23" s="7">
        <f t="shared" si="1"/>
        <v>9372</v>
      </c>
      <c r="Z23" s="7">
        <f t="shared" si="1"/>
        <v>9372</v>
      </c>
      <c r="AA23" s="7">
        <f t="shared" si="1"/>
        <v>9372</v>
      </c>
      <c r="AB23" s="7">
        <f t="shared" si="1"/>
        <v>9372</v>
      </c>
      <c r="AC23" s="7">
        <f t="shared" si="1"/>
        <v>9372</v>
      </c>
      <c r="AD23" s="7">
        <f t="shared" si="1"/>
        <v>9372</v>
      </c>
      <c r="AE23" s="7">
        <f t="shared" si="1"/>
        <v>9372</v>
      </c>
      <c r="AF23" s="7">
        <f t="shared" si="1"/>
        <v>9372</v>
      </c>
    </row>
    <row r="24" spans="1:32" ht="12.75">
      <c r="A24" s="25" t="s">
        <v>9</v>
      </c>
      <c r="B24" s="26"/>
      <c r="C24" s="26">
        <f>IF(C21="","",IF(C21=$B$14,$B$15,""))</f>
      </c>
      <c r="D24" s="26">
        <f aca="true" t="shared" si="2" ref="D24:AF24">IF(D21="","",IF(D21=$B$14,$B$15,""))</f>
      </c>
      <c r="E24" s="26">
        <f t="shared" si="2"/>
      </c>
      <c r="F24" s="26">
        <f t="shared" si="2"/>
      </c>
      <c r="G24" s="26">
        <f t="shared" si="2"/>
      </c>
      <c r="H24" s="26">
        <f t="shared" si="2"/>
      </c>
      <c r="I24" s="26">
        <f t="shared" si="2"/>
      </c>
      <c r="J24" s="26">
        <f t="shared" si="2"/>
      </c>
      <c r="K24" s="26">
        <f t="shared" si="2"/>
      </c>
      <c r="L24" s="26">
        <f t="shared" si="2"/>
      </c>
      <c r="M24" s="26">
        <f t="shared" si="2"/>
      </c>
      <c r="N24" s="26">
        <f t="shared" si="2"/>
      </c>
      <c r="O24" s="26">
        <f t="shared" si="2"/>
      </c>
      <c r="P24" s="26">
        <f t="shared" si="2"/>
      </c>
      <c r="Q24" s="26">
        <f t="shared" si="2"/>
      </c>
      <c r="R24" s="26">
        <f t="shared" si="2"/>
      </c>
      <c r="S24" s="26">
        <f t="shared" si="2"/>
      </c>
      <c r="T24" s="26">
        <f t="shared" si="2"/>
      </c>
      <c r="U24" s="26">
        <f t="shared" si="2"/>
      </c>
      <c r="V24" s="26">
        <f t="shared" si="2"/>
      </c>
      <c r="W24" s="26">
        <f t="shared" si="2"/>
      </c>
      <c r="X24" s="26">
        <f t="shared" si="2"/>
      </c>
      <c r="Y24" s="26">
        <f t="shared" si="2"/>
      </c>
      <c r="Z24" s="26">
        <f t="shared" si="2"/>
      </c>
      <c r="AA24" s="26">
        <f t="shared" si="2"/>
      </c>
      <c r="AB24" s="26">
        <f t="shared" si="2"/>
      </c>
      <c r="AC24" s="26">
        <f t="shared" si="2"/>
      </c>
      <c r="AD24" s="26">
        <f t="shared" si="2"/>
      </c>
      <c r="AE24" s="26">
        <f t="shared" si="2"/>
      </c>
      <c r="AF24" s="26">
        <f t="shared" si="2"/>
        <v>300000</v>
      </c>
    </row>
    <row r="25" spans="1:32" s="2" customFormat="1" ht="12.75">
      <c r="A25" s="8" t="s">
        <v>7</v>
      </c>
      <c r="B25" s="9">
        <f>SUM(B22:B24)</f>
        <v>-100000</v>
      </c>
      <c r="C25" s="9">
        <f>IF(C21="","",SUM(C22:C24))</f>
        <v>9372</v>
      </c>
      <c r="D25" s="9">
        <f aca="true" t="shared" si="3" ref="D25:AF25">IF(D21="","",SUM(D22:D24))</f>
        <v>9372</v>
      </c>
      <c r="E25" s="9">
        <f t="shared" si="3"/>
        <v>9372</v>
      </c>
      <c r="F25" s="9">
        <f t="shared" si="3"/>
        <v>9372</v>
      </c>
      <c r="G25" s="9">
        <f t="shared" si="3"/>
        <v>9372</v>
      </c>
      <c r="H25" s="9">
        <f t="shared" si="3"/>
        <v>9372</v>
      </c>
      <c r="I25" s="9">
        <f t="shared" si="3"/>
        <v>9372</v>
      </c>
      <c r="J25" s="9">
        <f t="shared" si="3"/>
        <v>9372</v>
      </c>
      <c r="K25" s="9">
        <f t="shared" si="3"/>
        <v>9372</v>
      </c>
      <c r="L25" s="9">
        <f t="shared" si="3"/>
        <v>9372</v>
      </c>
      <c r="M25" s="9">
        <f t="shared" si="3"/>
        <v>9372</v>
      </c>
      <c r="N25" s="9">
        <f t="shared" si="3"/>
        <v>9372</v>
      </c>
      <c r="O25" s="9">
        <f t="shared" si="3"/>
        <v>9372</v>
      </c>
      <c r="P25" s="9">
        <f t="shared" si="3"/>
        <v>9372</v>
      </c>
      <c r="Q25" s="9">
        <f t="shared" si="3"/>
        <v>9372</v>
      </c>
      <c r="R25" s="9">
        <f t="shared" si="3"/>
        <v>9372</v>
      </c>
      <c r="S25" s="9">
        <f t="shared" si="3"/>
        <v>9372</v>
      </c>
      <c r="T25" s="9">
        <f t="shared" si="3"/>
        <v>9372</v>
      </c>
      <c r="U25" s="9">
        <f t="shared" si="3"/>
        <v>9372</v>
      </c>
      <c r="V25" s="9">
        <f t="shared" si="3"/>
        <v>9372</v>
      </c>
      <c r="W25" s="9">
        <f t="shared" si="3"/>
        <v>9372</v>
      </c>
      <c r="X25" s="9">
        <f t="shared" si="3"/>
        <v>9372</v>
      </c>
      <c r="Y25" s="9">
        <f t="shared" si="3"/>
        <v>9372</v>
      </c>
      <c r="Z25" s="9">
        <f t="shared" si="3"/>
        <v>9372</v>
      </c>
      <c r="AA25" s="9">
        <f t="shared" si="3"/>
        <v>9372</v>
      </c>
      <c r="AB25" s="9">
        <f t="shared" si="3"/>
        <v>9372</v>
      </c>
      <c r="AC25" s="9">
        <f t="shared" si="3"/>
        <v>9372</v>
      </c>
      <c r="AD25" s="9">
        <f t="shared" si="3"/>
        <v>9372</v>
      </c>
      <c r="AE25" s="9">
        <f t="shared" si="3"/>
        <v>9372</v>
      </c>
      <c r="AF25" s="9">
        <f t="shared" si="3"/>
        <v>309372</v>
      </c>
    </row>
    <row r="26" spans="1:32" ht="12.75">
      <c r="A26" s="6" t="s">
        <v>8</v>
      </c>
      <c r="B26" s="10">
        <f>1/(1+$F$19)^B21</f>
        <v>1</v>
      </c>
      <c r="C26" s="10">
        <f>IF(C21="","",1/(1+$F$19)^C21)</f>
        <v>0.9411764705882353</v>
      </c>
      <c r="D26" s="10">
        <f aca="true" t="shared" si="4" ref="D26:AF26">IF(D21="","",1/(1+$F$19)^D21)</f>
        <v>0.8858131487889274</v>
      </c>
      <c r="E26" s="10">
        <f t="shared" si="4"/>
        <v>0.833706492977814</v>
      </c>
      <c r="F26" s="10">
        <f t="shared" si="4"/>
        <v>0.7846649345673543</v>
      </c>
      <c r="G26" s="10">
        <f t="shared" si="4"/>
        <v>0.7385081737104511</v>
      </c>
      <c r="H26" s="10">
        <f t="shared" si="4"/>
        <v>0.6950665164333658</v>
      </c>
      <c r="I26" s="10">
        <f t="shared" si="4"/>
        <v>0.6541802507608149</v>
      </c>
      <c r="J26" s="10">
        <f t="shared" si="4"/>
        <v>0.6156990595395905</v>
      </c>
      <c r="K26" s="10">
        <f t="shared" si="4"/>
        <v>0.5794814678019675</v>
      </c>
      <c r="L26" s="10">
        <f t="shared" si="4"/>
        <v>0.5453943226371458</v>
      </c>
      <c r="M26" s="10">
        <f t="shared" si="4"/>
        <v>0.5133123036584902</v>
      </c>
      <c r="N26" s="10">
        <f t="shared" si="4"/>
        <v>0.4831174622668143</v>
      </c>
      <c r="O26" s="10">
        <f t="shared" si="4"/>
        <v>0.4546987880158253</v>
      </c>
      <c r="P26" s="10">
        <f t="shared" si="4"/>
        <v>0.4279518004854826</v>
      </c>
      <c r="Q26" s="10">
        <f t="shared" si="4"/>
        <v>0.4027781651628071</v>
      </c>
      <c r="R26" s="10">
        <f t="shared" si="4"/>
        <v>0.3790853319179361</v>
      </c>
      <c r="S26" s="10">
        <f t="shared" si="4"/>
        <v>0.3567861947462928</v>
      </c>
      <c r="T26" s="10">
        <f t="shared" si="4"/>
        <v>0.3357987715259227</v>
      </c>
      <c r="U26" s="10">
        <f t="shared" si="4"/>
        <v>0.3160459026126331</v>
      </c>
      <c r="V26" s="10">
        <f t="shared" si="4"/>
        <v>0.29745496716483116</v>
      </c>
      <c r="W26" s="10">
        <f t="shared" si="4"/>
        <v>0.27995761615513515</v>
      </c>
      <c r="X26" s="10">
        <f t="shared" si="4"/>
        <v>0.26348952108718604</v>
      </c>
      <c r="Y26" s="10">
        <f t="shared" si="4"/>
        <v>0.2479901374938222</v>
      </c>
      <c r="Z26" s="10">
        <f t="shared" si="4"/>
        <v>0.23340248234712674</v>
      </c>
      <c r="AA26" s="10">
        <f t="shared" si="4"/>
        <v>0.21967292456200166</v>
      </c>
      <c r="AB26" s="10">
        <f t="shared" si="4"/>
        <v>0.2067509878230604</v>
      </c>
      <c r="AC26" s="10">
        <f t="shared" si="4"/>
        <v>0.19458916500993917</v>
      </c>
      <c r="AD26" s="10">
        <f t="shared" si="4"/>
        <v>0.18314274353876628</v>
      </c>
      <c r="AE26" s="10">
        <f t="shared" si="4"/>
        <v>0.1723696409776624</v>
      </c>
      <c r="AF26" s="10">
        <f t="shared" si="4"/>
        <v>0.16223025033191754</v>
      </c>
    </row>
    <row r="27" spans="1:32" s="2" customFormat="1" ht="12.75">
      <c r="A27" s="8" t="s">
        <v>10</v>
      </c>
      <c r="B27" s="9">
        <f>B25*B26</f>
        <v>-100000</v>
      </c>
      <c r="C27" s="9">
        <f>IF(C21="","",C25*C26)</f>
        <v>8820.70588235294</v>
      </c>
      <c r="D27" s="9">
        <f aca="true" t="shared" si="5" ref="D27:AF27">IF(D21="","",D25*D26)</f>
        <v>8301.840830449828</v>
      </c>
      <c r="E27" s="9">
        <f t="shared" si="5"/>
        <v>7813.497252188073</v>
      </c>
      <c r="F27" s="9">
        <f t="shared" si="5"/>
        <v>7353.879766765244</v>
      </c>
      <c r="G27" s="9">
        <f t="shared" si="5"/>
        <v>6921.298604014348</v>
      </c>
      <c r="H27" s="9">
        <f t="shared" si="5"/>
        <v>6514.163392013505</v>
      </c>
      <c r="I27" s="9">
        <f t="shared" si="5"/>
        <v>6130.977310130357</v>
      </c>
      <c r="J27" s="9">
        <f t="shared" si="5"/>
        <v>5770.331586005042</v>
      </c>
      <c r="K27" s="9">
        <f t="shared" si="5"/>
        <v>5430.9003162400395</v>
      </c>
      <c r="L27" s="9">
        <f t="shared" si="5"/>
        <v>5111.43559175533</v>
      </c>
      <c r="M27" s="9">
        <f t="shared" si="5"/>
        <v>4810.76290988737</v>
      </c>
      <c r="N27" s="9">
        <f t="shared" si="5"/>
        <v>4527.776856364583</v>
      </c>
      <c r="O27" s="9">
        <f t="shared" si="5"/>
        <v>4261.437041284315</v>
      </c>
      <c r="P27" s="9">
        <f t="shared" si="5"/>
        <v>4010.764274149943</v>
      </c>
      <c r="Q27" s="9">
        <f t="shared" si="5"/>
        <v>3774.8369639058283</v>
      </c>
      <c r="R27" s="9">
        <f t="shared" si="5"/>
        <v>3552.787730734897</v>
      </c>
      <c r="S27" s="9">
        <f t="shared" si="5"/>
        <v>3343.800217162256</v>
      </c>
      <c r="T27" s="9">
        <f t="shared" si="5"/>
        <v>3147.1060867409474</v>
      </c>
      <c r="U27" s="9">
        <f t="shared" si="5"/>
        <v>2961.9821992855973</v>
      </c>
      <c r="V27" s="9">
        <f t="shared" si="5"/>
        <v>2787.7479522687977</v>
      </c>
      <c r="W27" s="9">
        <f t="shared" si="5"/>
        <v>2623.7627786059265</v>
      </c>
      <c r="X27" s="9">
        <f t="shared" si="5"/>
        <v>2469.4237916291077</v>
      </c>
      <c r="Y27" s="9">
        <f t="shared" si="5"/>
        <v>2324.163568592102</v>
      </c>
      <c r="Z27" s="9">
        <f t="shared" si="5"/>
        <v>2187.4480645572717</v>
      </c>
      <c r="AA27" s="9">
        <f t="shared" si="5"/>
        <v>2058.7746489950796</v>
      </c>
      <c r="AB27" s="9">
        <f t="shared" si="5"/>
        <v>1937.670257877722</v>
      </c>
      <c r="AC27" s="9">
        <f t="shared" si="5"/>
        <v>1823.6896544731499</v>
      </c>
      <c r="AD27" s="9">
        <f t="shared" si="5"/>
        <v>1716.4137924453175</v>
      </c>
      <c r="AE27" s="9">
        <f t="shared" si="5"/>
        <v>1615.4482752426518</v>
      </c>
      <c r="AF27" s="9">
        <f t="shared" si="5"/>
        <v>50189.497005686</v>
      </c>
    </row>
    <row r="29" spans="1:3" ht="12.75">
      <c r="A29" s="30" t="s">
        <v>11</v>
      </c>
      <c r="B29" s="31">
        <f>IRR(B25:AF25)</f>
        <v>0.1048158296123433</v>
      </c>
      <c r="C29" s="1" t="s">
        <v>22</v>
      </c>
    </row>
    <row r="30" spans="1:3" ht="12.75">
      <c r="A30" s="30" t="s">
        <v>13</v>
      </c>
      <c r="B30" s="32">
        <f>SUM(B27:AF27)</f>
        <v>74294.32460180356</v>
      </c>
      <c r="C30" s="1" t="s">
        <v>30</v>
      </c>
    </row>
    <row r="32" ht="12.75"/>
    <row r="33" ht="12.75"/>
    <row r="34" ht="12.75"/>
    <row r="35" ht="12.75"/>
    <row r="36" ht="12.75"/>
    <row r="37" ht="12.75"/>
  </sheetData>
  <sheetProtection password="CC32" sheet="1" objects="1" scenarios="1" formatCells="0"/>
  <mergeCells count="4">
    <mergeCell ref="D17:E17"/>
    <mergeCell ref="D18:E18"/>
    <mergeCell ref="D19:E19"/>
    <mergeCell ref="A1:B1"/>
  </mergeCells>
  <dataValidations count="1">
    <dataValidation type="whole" allowBlank="1" showInputMessage="1" showErrorMessage="1" sqref="B14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Concepts</dc:creator>
  <cp:keywords/>
  <dc:description/>
  <cp:lastModifiedBy>Business Concepts</cp:lastModifiedBy>
  <dcterms:created xsi:type="dcterms:W3CDTF">2017-06-28T10:00:09Z</dcterms:created>
  <dcterms:modified xsi:type="dcterms:W3CDTF">2017-06-29T20:57:35Z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